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- Sisprom\Orçamentos_Sisprom\Boa Nova\"/>
    </mc:Choice>
  </mc:AlternateContent>
  <xr:revisionPtr revIDLastSave="0" documentId="13_ncr:1_{17180E01-A06F-40D0-BEAD-AD140BC81965}" xr6:coauthVersionLast="47" xr6:coauthVersionMax="47" xr10:uidLastSave="{00000000-0000-0000-0000-000000000000}"/>
  <bookViews>
    <workbookView xWindow="26325" yWindow="2430" windowWidth="21600" windowHeight="11295" xr2:uid="{00000000-000D-0000-FFFF-FFFF00000000}"/>
  </bookViews>
  <sheets>
    <sheet name="Sheet1" sheetId="1" r:id="rId1"/>
    <sheet name="Planilha1" sheetId="2" r:id="rId2"/>
    <sheet name="Sheet1 (2)" sheetId="3" r:id="rId3"/>
  </sheets>
  <calcPr calcId="191029"/>
</workbook>
</file>

<file path=xl/calcChain.xml><?xml version="1.0" encoding="utf-8"?>
<calcChain xmlns="http://schemas.openxmlformats.org/spreadsheetml/2006/main">
  <c r="J40" i="2" l="1"/>
  <c r="M6" i="1"/>
  <c r="M4" i="1"/>
  <c r="J13" i="1"/>
  <c r="K13" i="1"/>
  <c r="J8" i="1"/>
  <c r="K8" i="1"/>
  <c r="J9" i="1"/>
  <c r="K9" i="1"/>
  <c r="J6" i="1"/>
  <c r="K6" i="1"/>
  <c r="J3" i="1"/>
  <c r="K3" i="1"/>
  <c r="U20" i="2"/>
  <c r="T20" i="2"/>
  <c r="R20" i="2"/>
  <c r="O55" i="2"/>
  <c r="O54" i="2"/>
  <c r="O53" i="2"/>
  <c r="O47" i="2"/>
  <c r="N55" i="2"/>
  <c r="N54" i="2"/>
  <c r="N53" i="2"/>
  <c r="N47" i="2"/>
  <c r="O38" i="2"/>
  <c r="O37" i="2"/>
  <c r="O36" i="2"/>
  <c r="O35" i="2"/>
  <c r="O34" i="2"/>
  <c r="N38" i="2"/>
  <c r="N37" i="2"/>
  <c r="N36" i="2"/>
  <c r="N35" i="2"/>
  <c r="N34" i="2"/>
  <c r="M25" i="2"/>
  <c r="O25" i="2"/>
  <c r="N25" i="2"/>
  <c r="N19" i="2"/>
  <c r="N20" i="2"/>
  <c r="N12" i="2"/>
  <c r="O19" i="2"/>
  <c r="O6" i="2"/>
  <c r="O5" i="2"/>
  <c r="O4" i="2"/>
  <c r="O3" i="2"/>
  <c r="O13" i="2"/>
  <c r="O12" i="2"/>
  <c r="N13" i="2"/>
  <c r="N6" i="2"/>
  <c r="N5" i="2"/>
  <c r="N4" i="2"/>
  <c r="N3" i="2"/>
  <c r="M55" i="2"/>
  <c r="M54" i="2"/>
  <c r="M53" i="2"/>
  <c r="M47" i="2"/>
  <c r="M38" i="2"/>
  <c r="M37" i="2"/>
  <c r="M36" i="2"/>
  <c r="M35" i="2"/>
  <c r="M34" i="2"/>
  <c r="M19" i="2"/>
  <c r="M13" i="2"/>
  <c r="M12" i="2"/>
  <c r="M6" i="2"/>
  <c r="M5" i="2"/>
  <c r="M4" i="2"/>
  <c r="M3" i="2"/>
  <c r="N48" i="2"/>
  <c r="N26" i="2"/>
  <c r="L55" i="2"/>
  <c r="L54" i="2"/>
  <c r="L53" i="2"/>
  <c r="L47" i="2"/>
  <c r="L48" i="2" s="1"/>
  <c r="L35" i="2"/>
  <c r="L36" i="2"/>
  <c r="L37" i="2"/>
  <c r="L38" i="2"/>
  <c r="L34" i="2"/>
  <c r="L25" i="2"/>
  <c r="L26" i="2" s="1"/>
  <c r="H6" i="1" s="1"/>
  <c r="L19" i="2"/>
  <c r="I12" i="2"/>
  <c r="L12" i="2" s="1"/>
  <c r="L13" i="2"/>
  <c r="L6" i="2"/>
  <c r="L5" i="2"/>
  <c r="L4" i="2"/>
  <c r="L3" i="2"/>
  <c r="N3" i="3"/>
  <c r="N15" i="3"/>
  <c r="O16" i="3"/>
  <c r="N14" i="3"/>
  <c r="L6" i="3"/>
  <c r="N6" i="3" s="1"/>
  <c r="L3" i="3"/>
  <c r="L5" i="3"/>
  <c r="N5" i="3" s="1"/>
  <c r="L4" i="3"/>
  <c r="N4" i="3" s="1"/>
  <c r="F5" i="1"/>
  <c r="F4" i="1"/>
  <c r="F6" i="1"/>
  <c r="F7" i="1"/>
  <c r="M8" i="1"/>
  <c r="F10" i="1"/>
  <c r="F9" i="1"/>
  <c r="F11" i="1"/>
  <c r="F3" i="1"/>
  <c r="M10" i="1" l="1"/>
  <c r="M13" i="1" s="1"/>
  <c r="O39" i="2"/>
  <c r="O42" i="2" s="1"/>
  <c r="O20" i="2"/>
  <c r="O7" i="2"/>
  <c r="N14" i="2"/>
  <c r="N56" i="2"/>
  <c r="N58" i="2" s="1"/>
  <c r="L56" i="2"/>
  <c r="L58" i="2" s="1"/>
  <c r="H9" i="1" s="1"/>
  <c r="M56" i="2"/>
  <c r="L39" i="2"/>
  <c r="L42" i="2" s="1"/>
  <c r="H8" i="1" s="1"/>
  <c r="M39" i="2"/>
  <c r="M42" i="2" s="1"/>
  <c r="I8" i="1" s="1"/>
  <c r="M7" i="2"/>
  <c r="L14" i="2"/>
  <c r="L7" i="2"/>
  <c r="M20" i="2"/>
  <c r="L20" i="2"/>
  <c r="N7" i="3"/>
  <c r="F13" i="1"/>
  <c r="I19" i="1" s="1"/>
  <c r="O56" i="2" l="1"/>
  <c r="N39" i="2"/>
  <c r="N42" i="2" s="1"/>
  <c r="N7" i="2"/>
  <c r="N29" i="2" s="1"/>
  <c r="H3" i="1"/>
  <c r="L29" i="2"/>
  <c r="L61" i="2" s="1"/>
  <c r="M26" i="2"/>
  <c r="I6" i="1" s="1"/>
  <c r="O26" i="2"/>
  <c r="M48" i="2"/>
  <c r="M58" i="2" s="1"/>
  <c r="O48" i="2"/>
  <c r="H13" i="1"/>
  <c r="M14" i="2"/>
  <c r="S20" i="2" s="1"/>
  <c r="I3" i="1" s="1"/>
  <c r="O14" i="2"/>
  <c r="R42" i="2"/>
  <c r="O58" i="2" l="1"/>
  <c r="N61" i="2"/>
  <c r="R58" i="2"/>
  <c r="I9" i="1"/>
  <c r="I13" i="1" s="1"/>
  <c r="O29" i="2"/>
  <c r="M29" i="2"/>
  <c r="M61" i="2" s="1"/>
  <c r="O61" i="2" l="1"/>
  <c r="R29" i="2"/>
</calcChain>
</file>

<file path=xl/sharedStrings.xml><?xml version="1.0" encoding="utf-8"?>
<sst xmlns="http://schemas.openxmlformats.org/spreadsheetml/2006/main" count="225" uniqueCount="89">
  <si>
    <t>ITEM</t>
  </si>
  <si>
    <t>DESCRIÇÃO</t>
  </si>
  <si>
    <t>UNIDADE</t>
  </si>
  <si>
    <t>QTDE</t>
  </si>
  <si>
    <t>Valor Unitário Mercado (R$)</t>
  </si>
  <si>
    <t>Valor Total Mercado (R$)</t>
  </si>
  <si>
    <t>Imóvel</t>
  </si>
  <si>
    <t>Sistema</t>
  </si>
  <si>
    <t>Hora</t>
  </si>
  <si>
    <t>Mês</t>
  </si>
  <si>
    <t>Data</t>
  </si>
  <si>
    <t>Local</t>
  </si>
  <si>
    <t>Carro (R$)</t>
  </si>
  <si>
    <t>Gasolina (R$)</t>
  </si>
  <si>
    <t>Hospedagem (R$)</t>
  </si>
  <si>
    <t>Almoço (R$)</t>
  </si>
  <si>
    <t>Café (R$)</t>
  </si>
  <si>
    <t>Janta (R$)</t>
  </si>
  <si>
    <t>Equipamento (R$)</t>
  </si>
  <si>
    <t>Diária do Operador (R$)</t>
  </si>
  <si>
    <t>Diária do Auxiliar (R$)</t>
  </si>
  <si>
    <t>Total do Dia (R$)</t>
  </si>
  <si>
    <t>Observações</t>
  </si>
  <si>
    <t>Boa Nova</t>
  </si>
  <si>
    <t>Total</t>
  </si>
  <si>
    <t>Despesa de Voos</t>
  </si>
  <si>
    <t>% Lucro</t>
  </si>
  <si>
    <t>Valor Final com Lucro (R$)</t>
  </si>
  <si>
    <t>Despesa de Processamento</t>
  </si>
  <si>
    <t>Serviço</t>
  </si>
  <si>
    <t>Processamento de Imagens Aéreas com Drone</t>
  </si>
  <si>
    <t>Prestação de serviço de processamento e análise de imagens obtidas por aeronave remotamente pilotada (drone), abrangendo área total de 600 hectares, incluindo a geração de produtos cartográficos e relatórios técnicos.</t>
  </si>
  <si>
    <t>Objetivo</t>
  </si>
  <si>
    <t>Ortomosaico GeoTIFF em resolução compatível com o voo.
MDS/MDT em GeoTIFF.
Relatório técnico com metadados e resumo metodológico.</t>
  </si>
  <si>
    <t>Produtos finais</t>
  </si>
  <si>
    <t>Até 10 dias úteis após recebimento integral das imagens.</t>
  </si>
  <si>
    <t>Item</t>
  </si>
  <si>
    <t>Processamento de imagens – 600 ha</t>
  </si>
  <si>
    <t>Valor Unitário (R$)</t>
  </si>
  <si>
    <t>Valor Total (R$)</t>
  </si>
  <si>
    <t>Organização e georreferenciamento das imagens.
Processamento para geração de:
Ortomosaico de alta resolução (RGB);
Modelo Digital de Superfície (MDS);
Modelo Digital de Terreno (MDT);
Correção radiométrica e ajuste de cores.
Exportação em formatos compatíveis com softwares CAD e GIS.
Entrega em mídia digital e/ou link seguro para download.</t>
  </si>
  <si>
    <t>Prazo de Entrega</t>
  </si>
  <si>
    <t>Quantidade (Hectares)</t>
  </si>
  <si>
    <t>Escopo</t>
  </si>
  <si>
    <t>Estimativa de referência (mercado brasileiro 2025)
Hoje, valores de processamento profissional no mercado variam:
Por hectare: R$ 4 a R$ 8/ha (simples) ou R$ 10 a R$ 15/ha (com análises avançadas).
Preço fixo: proporcional ao tempo de processamento e complexidade.
💡 Para 600 ha:
Simples (ortomosaico básico, MDS/MDT): R$ 2.400 a R$ 4.800.
Avançado (classificação, NDVI, análise de volume, relatórios): R$ 6.000 a R$ 9.000.</t>
  </si>
  <si>
    <t>Despesa de Marcos</t>
  </si>
  <si>
    <t>quantidade</t>
  </si>
  <si>
    <t>Serviços</t>
  </si>
  <si>
    <t>Àrea = Há</t>
  </si>
  <si>
    <t>Organização e georreferenciamento das imagens. Processamento para geração de: Ortomosaico de alta resolução (RGB); Modelo Digital de Superfície (MDS); Modelo Digital de Terreno (MDT); Correção radiométrica e ajuste de cores. Exportação em formatos compatíveis com softwares CAD e GIS. Entrega em mídia digital e/ou link seguro para download.</t>
  </si>
  <si>
    <t>Despesas de Voos = 610 Ha</t>
  </si>
  <si>
    <t>Despesas de Marcos e Georreferenciamento = 610 Há</t>
  </si>
  <si>
    <t>Despesas de Processamento = 610 Há</t>
  </si>
  <si>
    <t>Levantamento fotográfico multidirecional (360°) nos lotes urbanos</t>
  </si>
  <si>
    <t>Conjuntos de dados tridimensionais de alta precisão centimétrica, representando fielmente a superfície de objetos ou terrenos - nuvens de pontos.</t>
  </si>
  <si>
    <t>Há</t>
  </si>
  <si>
    <t>Atualização e vetorização da base cartográfica urbana (PECA 1:1000) E do Cadastro técnico imobiliário.</t>
  </si>
  <si>
    <t>Cobertura aerofotogramétrica urbana para obtenção de fotografias aéreas verticais coloridas do território do município , gsd 10 cm ou melhor, pec-a 1:1000</t>
  </si>
  <si>
    <t>Estruturação e atualização de cadastro técnico municipal e reclassificação do padrão construtivo</t>
  </si>
  <si>
    <t xml:space="preserve">Customização, implantação de Plataforma de gestão na Web com integração com Banco de Dados Espacial e Sistema mobile, Sisprom-Br </t>
  </si>
  <si>
    <t>Consultoria em processo e treinamentos.</t>
  </si>
  <si>
    <t>Hospedagem da plantaforma WebGis</t>
  </si>
  <si>
    <t>Geração automatizada das plantas de quadra para planejamento urbano, com representação individualizada, incluindo informações detalhadas como área, largura, comprimento e numeração dos lotes.</t>
  </si>
  <si>
    <t>Rasterizar elementos (desenho)</t>
  </si>
  <si>
    <t>Rasterizar elementos (desenho) = 610 Há</t>
  </si>
  <si>
    <t>10 Reais por dupla</t>
  </si>
  <si>
    <t>Valor por Imóvel  (R$)</t>
  </si>
  <si>
    <t>Quantidade de Duplas (Un)</t>
  </si>
  <si>
    <t>Quantidade de Imoveis por dupla (Un)</t>
  </si>
  <si>
    <t>Marcos = 20 (Un)</t>
  </si>
  <si>
    <t>Programação</t>
  </si>
  <si>
    <t>voo 360</t>
  </si>
  <si>
    <t>Ortomosaico e nuvem de ponto</t>
  </si>
  <si>
    <t>Pontos de Controle</t>
  </si>
  <si>
    <t>Equipe de Campo = 2,500 Imóveis</t>
  </si>
  <si>
    <t>Vetorização dos Imóveis</t>
  </si>
  <si>
    <t>Programaçã, Banco de Dados e Dashboards</t>
  </si>
  <si>
    <t>Total Geral</t>
  </si>
  <si>
    <t>gastos</t>
  </si>
  <si>
    <t>sem lucro</t>
  </si>
  <si>
    <t>com lucro 50%</t>
  </si>
  <si>
    <t>Técnico para Treinamentos</t>
  </si>
  <si>
    <t>Quantidade de Técnico (Un)</t>
  </si>
  <si>
    <t>horas</t>
  </si>
  <si>
    <t>Valor Final 30% Lucro (R$)</t>
  </si>
  <si>
    <t>Valor Final 50% Lucro (R$)</t>
  </si>
  <si>
    <t>Valor Final 70% Lucro (R$)</t>
  </si>
  <si>
    <t>com lucro 30%</t>
  </si>
  <si>
    <t>com lucro 70%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</si>
</sst>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16" fontId="0" fillId="0" borderId="1" xfId="0" applyNumberFormat="1" applyBorder="1"/>
    <xf numFmtId="0" fontId="0" fillId="0" borderId="2" xfId="0" applyBorder="1"/>
    <xf numFmtId="9" fontId="0" fillId="0" borderId="1" xfId="0" applyNumberFormat="1" applyBorder="1"/>
    <xf numFmtId="0" fontId="0" fillId="0" borderId="3" xfId="0" applyBorder="1"/>
    <xf numFmtId="164" fontId="0" fillId="0" borderId="3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0" fillId="0" borderId="13" xfId="0" applyBorder="1"/>
    <xf numFmtId="0" fontId="0" fillId="0" borderId="14" xfId="0" applyBorder="1"/>
    <xf numFmtId="16" fontId="0" fillId="0" borderId="12" xfId="0" applyNumberFormat="1" applyBorder="1" applyAlignment="1">
      <alignment vertical="center"/>
    </xf>
    <xf numFmtId="0" fontId="0" fillId="0" borderId="15" xfId="0" applyBorder="1"/>
    <xf numFmtId="0" fontId="0" fillId="0" borderId="16" xfId="0" applyBorder="1"/>
    <xf numFmtId="0" fontId="5" fillId="3" borderId="17" xfId="0" applyFont="1" applyFill="1" applyBorder="1" applyAlignment="1">
      <alignment vertical="center"/>
    </xf>
    <xf numFmtId="164" fontId="5" fillId="3" borderId="17" xfId="0" applyNumberFormat="1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/>
    </xf>
    <xf numFmtId="164" fontId="5" fillId="2" borderId="20" xfId="0" applyNumberFormat="1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6" fillId="0" borderId="0" xfId="0" applyFont="1"/>
    <xf numFmtId="164" fontId="0" fillId="0" borderId="6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0" fillId="0" borderId="2" xfId="0" applyNumberFormat="1" applyBorder="1" applyAlignment="1">
      <alignment horizontal="left" vertical="center" wrapText="1"/>
    </xf>
    <xf numFmtId="164" fontId="0" fillId="0" borderId="4" xfId="0" applyNumberFormat="1" applyBorder="1" applyAlignment="1">
      <alignment horizontal="left" vertical="center" wrapText="1"/>
    </xf>
    <xf numFmtId="164" fontId="0" fillId="0" borderId="5" xfId="0" applyNumberFormat="1" applyBorder="1" applyAlignment="1">
      <alignment horizontal="left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workbookViewId="0">
      <selection activeCell="F8" sqref="F8"/>
    </sheetView>
  </sheetViews>
  <sheetFormatPr defaultRowHeight="15" x14ac:dyDescent="0.25"/>
  <cols>
    <col min="2" max="2" width="50.42578125" bestFit="1" customWidth="1"/>
    <col min="3" max="3" width="9.28515625" bestFit="1" customWidth="1"/>
    <col min="4" max="4" width="10" customWidth="1"/>
    <col min="5" max="5" width="26.42578125" bestFit="1" customWidth="1"/>
    <col min="6" max="6" width="23.42578125" bestFit="1" customWidth="1"/>
    <col min="8" max="8" width="15.7109375" customWidth="1"/>
    <col min="9" max="9" width="18.140625" customWidth="1"/>
    <col min="10" max="10" width="15.85546875" bestFit="1" customWidth="1"/>
    <col min="11" max="11" width="17.42578125" customWidth="1"/>
    <col min="12" max="12" width="12.42578125" bestFit="1" customWidth="1"/>
    <col min="13" max="13" width="12.7109375" bestFit="1" customWidth="1"/>
  </cols>
  <sheetData>
    <row r="1" spans="1:13" x14ac:dyDescent="0.25">
      <c r="H1" s="53" t="s">
        <v>78</v>
      </c>
      <c r="I1" s="53"/>
    </row>
    <row r="2" spans="1:1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5" t="s">
        <v>79</v>
      </c>
      <c r="I2" s="15" t="s">
        <v>87</v>
      </c>
      <c r="J2" s="15" t="s">
        <v>80</v>
      </c>
      <c r="K2" s="15" t="s">
        <v>88</v>
      </c>
    </row>
    <row r="3" spans="1:13" ht="45" customHeight="1" x14ac:dyDescent="0.25">
      <c r="A3" s="11">
        <v>1</v>
      </c>
      <c r="B3" s="22" t="s">
        <v>57</v>
      </c>
      <c r="C3" s="2" t="s">
        <v>55</v>
      </c>
      <c r="D3" s="3">
        <v>610</v>
      </c>
      <c r="E3" s="4">
        <v>66.7</v>
      </c>
      <c r="F3" s="4">
        <f>E3*D3</f>
        <v>40687</v>
      </c>
      <c r="H3" s="52">
        <f>Planilha1!R20</f>
        <v>37011.179999999993</v>
      </c>
      <c r="I3" s="52">
        <f>Planilha1!S20</f>
        <v>48114.534</v>
      </c>
      <c r="J3" s="52">
        <f>Planilha1!T20</f>
        <v>55516.77</v>
      </c>
      <c r="K3" s="52">
        <f>Planilha1!U20</f>
        <v>62919.005999999994</v>
      </c>
    </row>
    <row r="4" spans="1:13" ht="47.25" customHeight="1" x14ac:dyDescent="0.25">
      <c r="A4" s="11">
        <v>2</v>
      </c>
      <c r="B4" s="22" t="s">
        <v>54</v>
      </c>
      <c r="C4" s="2" t="s">
        <v>55</v>
      </c>
      <c r="D4" s="3">
        <v>610</v>
      </c>
      <c r="E4" s="4">
        <v>36.4</v>
      </c>
      <c r="F4" s="4">
        <f t="shared" ref="F4:F11" si="0">E4*D4</f>
        <v>22204</v>
      </c>
      <c r="H4" s="52"/>
      <c r="I4" s="52"/>
      <c r="J4" s="52"/>
      <c r="K4" s="52"/>
      <c r="L4" s="23"/>
      <c r="M4" s="23">
        <f>SUM(F3:F5)</f>
        <v>95066</v>
      </c>
    </row>
    <row r="5" spans="1:13" ht="32.25" customHeight="1" x14ac:dyDescent="0.25">
      <c r="A5" s="11">
        <v>3</v>
      </c>
      <c r="B5" s="22" t="s">
        <v>53</v>
      </c>
      <c r="C5" s="2" t="s">
        <v>6</v>
      </c>
      <c r="D5" s="3">
        <v>2500</v>
      </c>
      <c r="E5" s="4">
        <v>12.87</v>
      </c>
      <c r="F5" s="4">
        <f>E5*D5</f>
        <v>32174.999999999996</v>
      </c>
      <c r="H5" s="52"/>
      <c r="I5" s="52"/>
      <c r="J5" s="52"/>
      <c r="K5" s="52"/>
    </row>
    <row r="6" spans="1:13" ht="51" x14ac:dyDescent="0.25">
      <c r="A6" s="11">
        <v>4</v>
      </c>
      <c r="B6" s="22" t="s">
        <v>62</v>
      </c>
      <c r="C6" s="2" t="s">
        <v>6</v>
      </c>
      <c r="D6" s="3">
        <v>2500</v>
      </c>
      <c r="E6" s="4">
        <v>17.579999999999998</v>
      </c>
      <c r="F6" s="4">
        <f t="shared" si="0"/>
        <v>43949.999999999993</v>
      </c>
      <c r="H6" s="49">
        <f>Planilha1!L26</f>
        <v>31049</v>
      </c>
      <c r="I6" s="49">
        <f>Planilha1!M26</f>
        <v>40363.700000000004</v>
      </c>
      <c r="J6" s="49">
        <f>Planilha1!N26</f>
        <v>46573.5</v>
      </c>
      <c r="K6" s="49">
        <f>Planilha1!O26</f>
        <v>52783.299999999996</v>
      </c>
      <c r="M6" s="23">
        <f>SUM(F6:F7)</f>
        <v>109200</v>
      </c>
    </row>
    <row r="7" spans="1:13" ht="30.75" customHeight="1" x14ac:dyDescent="0.25">
      <c r="A7" s="11">
        <v>5</v>
      </c>
      <c r="B7" s="22" t="s">
        <v>56</v>
      </c>
      <c r="C7" s="2" t="s">
        <v>6</v>
      </c>
      <c r="D7" s="3">
        <v>2500</v>
      </c>
      <c r="E7" s="4">
        <v>26.1</v>
      </c>
      <c r="F7" s="4">
        <f t="shared" si="0"/>
        <v>65250</v>
      </c>
      <c r="H7" s="51"/>
      <c r="I7" s="51"/>
      <c r="J7" s="51"/>
      <c r="K7" s="51"/>
      <c r="L7" s="23"/>
    </row>
    <row r="8" spans="1:13" ht="36" customHeight="1" x14ac:dyDescent="0.25">
      <c r="A8" s="11">
        <v>6</v>
      </c>
      <c r="B8" s="21" t="s">
        <v>58</v>
      </c>
      <c r="C8" s="2" t="s">
        <v>6</v>
      </c>
      <c r="D8" s="3">
        <v>2500</v>
      </c>
      <c r="E8" s="4">
        <v>21.98</v>
      </c>
      <c r="F8" s="4"/>
      <c r="H8" s="24">
        <f>Planilha1!L42</f>
        <v>27142.649999999998</v>
      </c>
      <c r="I8" s="24">
        <f>Planilha1!M42</f>
        <v>35285.445</v>
      </c>
      <c r="J8" s="24">
        <f>Planilha1!N42</f>
        <v>40713.974999999999</v>
      </c>
      <c r="K8" s="24">
        <f>Planilha1!O42</f>
        <v>46142.505000000005</v>
      </c>
      <c r="M8" s="23">
        <f>SUM(F8)</f>
        <v>0</v>
      </c>
    </row>
    <row r="9" spans="1:13" ht="20.25" customHeight="1" x14ac:dyDescent="0.25">
      <c r="A9" s="11">
        <v>7</v>
      </c>
      <c r="B9" s="22" t="s">
        <v>60</v>
      </c>
      <c r="C9" s="2" t="s">
        <v>8</v>
      </c>
      <c r="D9" s="3">
        <v>90</v>
      </c>
      <c r="E9" s="4">
        <v>180</v>
      </c>
      <c r="F9" s="4">
        <f>E9*D9</f>
        <v>16200</v>
      </c>
      <c r="H9" s="49">
        <f>Planilha1!L58</f>
        <v>26530.59</v>
      </c>
      <c r="I9" s="49">
        <f>Planilha1!M58</f>
        <v>34489.767</v>
      </c>
      <c r="J9" s="49">
        <f>Planilha1!N58</f>
        <v>39795.885000000002</v>
      </c>
      <c r="K9" s="49">
        <f>Planilha1!O58</f>
        <v>45102.002999999997</v>
      </c>
    </row>
    <row r="10" spans="1:13" ht="45.75" customHeight="1" x14ac:dyDescent="0.25">
      <c r="A10" s="11">
        <v>8</v>
      </c>
      <c r="B10" s="21" t="s">
        <v>59</v>
      </c>
      <c r="C10" s="2" t="s">
        <v>7</v>
      </c>
      <c r="D10" s="3">
        <v>1</v>
      </c>
      <c r="E10" s="4">
        <v>20000</v>
      </c>
      <c r="F10" s="4">
        <f t="shared" si="0"/>
        <v>20000</v>
      </c>
      <c r="H10" s="50"/>
      <c r="I10" s="50"/>
      <c r="J10" s="50"/>
      <c r="K10" s="50"/>
      <c r="M10" s="23">
        <f>SUM(F9:F11)</f>
        <v>126200</v>
      </c>
    </row>
    <row r="11" spans="1:13" ht="22.5" customHeight="1" x14ac:dyDescent="0.25">
      <c r="A11" s="11">
        <v>9</v>
      </c>
      <c r="B11" s="22" t="s">
        <v>61</v>
      </c>
      <c r="C11" s="2" t="s">
        <v>9</v>
      </c>
      <c r="D11" s="3">
        <v>12</v>
      </c>
      <c r="E11" s="4">
        <v>7500</v>
      </c>
      <c r="F11" s="4">
        <f t="shared" si="0"/>
        <v>90000</v>
      </c>
      <c r="H11" s="51"/>
      <c r="I11" s="51"/>
      <c r="J11" s="51"/>
      <c r="K11" s="51"/>
    </row>
    <row r="12" spans="1:13" x14ac:dyDescent="0.25">
      <c r="A12" s="2"/>
      <c r="B12" s="2"/>
      <c r="C12" s="2"/>
      <c r="D12" s="2"/>
      <c r="E12" s="2"/>
      <c r="F12" s="2"/>
    </row>
    <row r="13" spans="1:13" x14ac:dyDescent="0.25">
      <c r="A13" s="2"/>
      <c r="B13" s="2"/>
      <c r="C13" s="2"/>
      <c r="D13" s="2"/>
      <c r="E13" s="2"/>
      <c r="F13" s="4">
        <f>SUM(F3:F12)</f>
        <v>330466</v>
      </c>
      <c r="H13" s="4">
        <f>SUM(H3:H12)</f>
        <v>121733.41999999998</v>
      </c>
      <c r="I13" s="4">
        <f>SUM(I3:I12)</f>
        <v>158253.446</v>
      </c>
      <c r="J13" s="4">
        <f t="shared" ref="J13:M13" si="1">SUM(J3:J12)</f>
        <v>182600.13</v>
      </c>
      <c r="K13" s="4">
        <f t="shared" si="1"/>
        <v>206946.81399999998</v>
      </c>
      <c r="M13" s="4">
        <f t="shared" si="1"/>
        <v>330466</v>
      </c>
    </row>
    <row r="18" spans="9:9" x14ac:dyDescent="0.25">
      <c r="I18">
        <v>401041</v>
      </c>
    </row>
    <row r="19" spans="9:9" x14ac:dyDescent="0.25">
      <c r="I19" s="23">
        <f>I18-F13</f>
        <v>70575</v>
      </c>
    </row>
  </sheetData>
  <mergeCells count="13">
    <mergeCell ref="H1:I1"/>
    <mergeCell ref="H3:H5"/>
    <mergeCell ref="I3:I5"/>
    <mergeCell ref="H6:H7"/>
    <mergeCell ref="I6:I7"/>
    <mergeCell ref="H9:H11"/>
    <mergeCell ref="I9:I11"/>
    <mergeCell ref="J3:J5"/>
    <mergeCell ref="K3:K5"/>
    <mergeCell ref="J6:J7"/>
    <mergeCell ref="K6:K7"/>
    <mergeCell ref="J9:J11"/>
    <mergeCell ref="K9:K11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2D6CB-D920-4E1A-B244-2ADACF334D04}">
  <sheetPr>
    <pageSetUpPr fitToPage="1"/>
  </sheetPr>
  <dimension ref="A1:U61"/>
  <sheetViews>
    <sheetView topLeftCell="A28" workbookViewId="0">
      <selection activeCell="F34" sqref="F34"/>
    </sheetView>
  </sheetViews>
  <sheetFormatPr defaultRowHeight="15" x14ac:dyDescent="0.25"/>
  <cols>
    <col min="3" max="3" width="9.7109375" bestFit="1" customWidth="1"/>
    <col min="4" max="4" width="12.7109375" bestFit="1" customWidth="1"/>
    <col min="5" max="5" width="16.7109375" bestFit="1" customWidth="1"/>
    <col min="6" max="6" width="9" bestFit="1" customWidth="1"/>
    <col min="7" max="7" width="11.7109375" bestFit="1" customWidth="1"/>
    <col min="8" max="8" width="9.5703125" bestFit="1" customWidth="1"/>
    <col min="9" max="9" width="25" bestFit="1" customWidth="1"/>
    <col min="10" max="10" width="35.28515625" bestFit="1" customWidth="1"/>
    <col min="11" max="11" width="20.42578125" bestFit="1" customWidth="1"/>
    <col min="12" max="12" width="15.5703125" bestFit="1" customWidth="1"/>
    <col min="13" max="15" width="24.140625" bestFit="1" customWidth="1"/>
    <col min="16" max="16" width="28.28515625" customWidth="1"/>
    <col min="18" max="21" width="11.7109375" bestFit="1" customWidth="1"/>
  </cols>
  <sheetData>
    <row r="1" spans="1:20" ht="18.75" x14ac:dyDescent="0.3">
      <c r="A1" s="61" t="s">
        <v>50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3"/>
      <c r="O1" s="63"/>
      <c r="P1" s="64"/>
      <c r="R1" s="1" t="s">
        <v>26</v>
      </c>
      <c r="S1" s="1" t="s">
        <v>26</v>
      </c>
      <c r="T1" s="1" t="s">
        <v>26</v>
      </c>
    </row>
    <row r="2" spans="1:20" x14ac:dyDescent="0.25">
      <c r="A2" s="27" t="s">
        <v>10</v>
      </c>
      <c r="B2" s="15" t="s">
        <v>11</v>
      </c>
      <c r="C2" s="15" t="s">
        <v>12</v>
      </c>
      <c r="D2" s="15" t="s">
        <v>13</v>
      </c>
      <c r="E2" s="15" t="s">
        <v>14</v>
      </c>
      <c r="F2" s="15" t="s">
        <v>16</v>
      </c>
      <c r="G2" s="15" t="s">
        <v>15</v>
      </c>
      <c r="H2" s="15" t="s">
        <v>17</v>
      </c>
      <c r="I2" s="15" t="s">
        <v>18</v>
      </c>
      <c r="J2" s="15" t="s">
        <v>19</v>
      </c>
      <c r="K2" s="15" t="s">
        <v>20</v>
      </c>
      <c r="L2" s="15" t="s">
        <v>21</v>
      </c>
      <c r="M2" s="1" t="s">
        <v>84</v>
      </c>
      <c r="N2" s="1" t="s">
        <v>85</v>
      </c>
      <c r="O2" s="1" t="s">
        <v>86</v>
      </c>
      <c r="P2" s="28" t="s">
        <v>22</v>
      </c>
      <c r="R2" s="7">
        <v>0.3</v>
      </c>
      <c r="S2" s="7">
        <v>0.5</v>
      </c>
      <c r="T2" s="7">
        <v>0.7</v>
      </c>
    </row>
    <row r="3" spans="1:20" x14ac:dyDescent="0.25">
      <c r="A3" s="29">
        <v>45912</v>
      </c>
      <c r="B3" s="16" t="s">
        <v>23</v>
      </c>
      <c r="C3" s="17">
        <v>188.53</v>
      </c>
      <c r="D3" s="17">
        <v>100</v>
      </c>
      <c r="E3" s="17">
        <v>150</v>
      </c>
      <c r="F3" s="17">
        <v>20</v>
      </c>
      <c r="G3" s="17">
        <v>50</v>
      </c>
      <c r="H3" s="17">
        <v>40</v>
      </c>
      <c r="I3" s="17">
        <v>1000</v>
      </c>
      <c r="J3" s="17">
        <v>800</v>
      </c>
      <c r="K3" s="17">
        <v>200</v>
      </c>
      <c r="L3" s="17">
        <f>SUM(C3:K3)</f>
        <v>2548.5299999999997</v>
      </c>
      <c r="M3" s="17">
        <f>L3*(1+$R$2)</f>
        <v>3313.0889999999999</v>
      </c>
      <c r="N3" s="17">
        <f>L3*(1+$S$2)</f>
        <v>3822.7949999999996</v>
      </c>
      <c r="O3" s="17">
        <f>L3*(1+$T$2)</f>
        <v>4332.5009999999993</v>
      </c>
      <c r="P3" s="30" t="s">
        <v>72</v>
      </c>
    </row>
    <row r="4" spans="1:20" x14ac:dyDescent="0.25">
      <c r="A4" s="29">
        <v>45913</v>
      </c>
      <c r="B4" s="16" t="s">
        <v>23</v>
      </c>
      <c r="C4" s="17">
        <v>188.53</v>
      </c>
      <c r="D4" s="17">
        <v>100</v>
      </c>
      <c r="E4" s="17">
        <v>150</v>
      </c>
      <c r="F4" s="17">
        <v>20</v>
      </c>
      <c r="G4" s="17">
        <v>50</v>
      </c>
      <c r="H4" s="17">
        <v>40</v>
      </c>
      <c r="I4" s="17">
        <v>1000</v>
      </c>
      <c r="J4" s="17">
        <v>800</v>
      </c>
      <c r="K4" s="17">
        <v>200</v>
      </c>
      <c r="L4" s="17">
        <f>SUM(C4:K4)</f>
        <v>2548.5299999999997</v>
      </c>
      <c r="M4" s="17">
        <f>L4*(1+$R$2)</f>
        <v>3313.0889999999999</v>
      </c>
      <c r="N4" s="17">
        <f t="shared" ref="N4:N6" si="0">L4*(1+$S$2)</f>
        <v>3822.7949999999996</v>
      </c>
      <c r="O4" s="17">
        <f t="shared" ref="O4:O6" si="1">L4*(1+$T$2)</f>
        <v>4332.5009999999993</v>
      </c>
      <c r="P4" s="30" t="s">
        <v>72</v>
      </c>
    </row>
    <row r="5" spans="1:20" x14ac:dyDescent="0.25">
      <c r="A5" s="29">
        <v>45914</v>
      </c>
      <c r="B5" s="16" t="s">
        <v>23</v>
      </c>
      <c r="C5" s="17">
        <v>188.53</v>
      </c>
      <c r="D5" s="17">
        <v>100</v>
      </c>
      <c r="E5" s="17">
        <v>150</v>
      </c>
      <c r="F5" s="17">
        <v>20</v>
      </c>
      <c r="G5" s="17">
        <v>50</v>
      </c>
      <c r="H5" s="17">
        <v>40</v>
      </c>
      <c r="I5" s="17">
        <v>1000</v>
      </c>
      <c r="J5" s="17">
        <v>800</v>
      </c>
      <c r="K5" s="17">
        <v>200</v>
      </c>
      <c r="L5" s="17">
        <f>SUM(C5:K5)</f>
        <v>2548.5299999999997</v>
      </c>
      <c r="M5" s="17">
        <f>L5*(1+$R$2)</f>
        <v>3313.0889999999999</v>
      </c>
      <c r="N5" s="17">
        <f t="shared" si="0"/>
        <v>3822.7949999999996</v>
      </c>
      <c r="O5" s="17">
        <f t="shared" si="1"/>
        <v>4332.5009999999993</v>
      </c>
      <c r="P5" s="30" t="s">
        <v>72</v>
      </c>
    </row>
    <row r="6" spans="1:20" x14ac:dyDescent="0.25">
      <c r="A6" s="29">
        <v>45915</v>
      </c>
      <c r="B6" s="16" t="s">
        <v>23</v>
      </c>
      <c r="C6" s="17">
        <v>188.53</v>
      </c>
      <c r="D6" s="17">
        <v>100</v>
      </c>
      <c r="E6" s="17"/>
      <c r="F6" s="17">
        <v>20</v>
      </c>
      <c r="G6" s="17">
        <v>50</v>
      </c>
      <c r="H6" s="17"/>
      <c r="I6" s="17">
        <v>1000</v>
      </c>
      <c r="J6" s="17">
        <v>800</v>
      </c>
      <c r="K6" s="17">
        <v>200</v>
      </c>
      <c r="L6" s="17">
        <f>SUM(C6:K6)</f>
        <v>2358.5299999999997</v>
      </c>
      <c r="M6" s="17">
        <f>L6*(1+$R$2)</f>
        <v>3066.0889999999999</v>
      </c>
      <c r="N6" s="17">
        <f t="shared" si="0"/>
        <v>3537.7949999999996</v>
      </c>
      <c r="O6" s="17">
        <f t="shared" si="1"/>
        <v>4009.5009999999993</v>
      </c>
      <c r="P6" s="30" t="s">
        <v>71</v>
      </c>
    </row>
    <row r="7" spans="1:20" x14ac:dyDescent="0.25">
      <c r="A7" s="31"/>
      <c r="B7" s="19"/>
      <c r="C7" s="19"/>
      <c r="D7" s="19"/>
      <c r="E7" s="19"/>
      <c r="F7" s="19"/>
      <c r="G7" s="19"/>
      <c r="H7" s="19"/>
      <c r="I7" s="19"/>
      <c r="J7" s="19"/>
      <c r="K7" s="25" t="s">
        <v>24</v>
      </c>
      <c r="L7" s="26">
        <f>SUM(L3:L6)</f>
        <v>10004.119999999999</v>
      </c>
      <c r="M7" s="26">
        <f>SUM(M3:M6)</f>
        <v>13005.356</v>
      </c>
      <c r="N7" s="26">
        <f>SUM(N3:N6)</f>
        <v>15006.179999999998</v>
      </c>
      <c r="O7" s="26">
        <f>SUM(O3:O6)</f>
        <v>17007.003999999997</v>
      </c>
      <c r="P7" s="32"/>
    </row>
    <row r="8" spans="1:20" x14ac:dyDescent="0.25">
      <c r="A8" s="31"/>
      <c r="B8" s="19"/>
      <c r="C8" s="19"/>
      <c r="D8" s="19"/>
      <c r="E8" s="19"/>
      <c r="F8" s="19"/>
      <c r="G8" s="19"/>
      <c r="H8" s="19"/>
      <c r="I8" s="19"/>
      <c r="J8" s="19"/>
      <c r="K8" s="19"/>
      <c r="L8" s="20"/>
      <c r="M8" s="20"/>
      <c r="N8" s="20"/>
      <c r="O8" s="20"/>
      <c r="P8" s="33"/>
    </row>
    <row r="9" spans="1:20" x14ac:dyDescent="0.25">
      <c r="A9" s="31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33"/>
    </row>
    <row r="10" spans="1:20" ht="18.75" x14ac:dyDescent="0.3">
      <c r="A10" s="54" t="s">
        <v>51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6"/>
      <c r="O10" s="56"/>
      <c r="P10" s="57"/>
    </row>
    <row r="11" spans="1:20" x14ac:dyDescent="0.25">
      <c r="A11" s="34" t="s">
        <v>10</v>
      </c>
      <c r="B11" s="1" t="s">
        <v>11</v>
      </c>
      <c r="C11" s="1" t="s">
        <v>12</v>
      </c>
      <c r="D11" s="1" t="s">
        <v>13</v>
      </c>
      <c r="E11" s="1" t="s">
        <v>14</v>
      </c>
      <c r="F11" s="1" t="s">
        <v>16</v>
      </c>
      <c r="G11" s="1" t="s">
        <v>15</v>
      </c>
      <c r="H11" s="1" t="s">
        <v>17</v>
      </c>
      <c r="I11" s="1" t="s">
        <v>69</v>
      </c>
      <c r="J11" s="1" t="s">
        <v>19</v>
      </c>
      <c r="K11" s="1" t="s">
        <v>20</v>
      </c>
      <c r="L11" s="1" t="s">
        <v>21</v>
      </c>
      <c r="M11" s="1" t="s">
        <v>84</v>
      </c>
      <c r="N11" s="1" t="s">
        <v>85</v>
      </c>
      <c r="O11" s="1" t="s">
        <v>86</v>
      </c>
      <c r="P11" s="35" t="s">
        <v>22</v>
      </c>
    </row>
    <row r="12" spans="1:20" x14ac:dyDescent="0.25">
      <c r="A12" s="29">
        <v>45912</v>
      </c>
      <c r="B12" s="16" t="s">
        <v>23</v>
      </c>
      <c r="C12" s="17">
        <v>188.53</v>
      </c>
      <c r="D12" s="17">
        <v>100</v>
      </c>
      <c r="E12" s="17">
        <v>150</v>
      </c>
      <c r="F12" s="17">
        <v>20</v>
      </c>
      <c r="G12" s="17">
        <v>50</v>
      </c>
      <c r="H12" s="17">
        <v>40</v>
      </c>
      <c r="I12" s="17">
        <f>300*20</f>
        <v>6000</v>
      </c>
      <c r="J12" s="17">
        <v>800</v>
      </c>
      <c r="K12" s="17">
        <v>100</v>
      </c>
      <c r="L12" s="17">
        <f>SUM(C12:K12)</f>
        <v>7448.53</v>
      </c>
      <c r="M12" s="17">
        <f>L12*(1+$R$2)</f>
        <v>9683.0889999999999</v>
      </c>
      <c r="N12" s="17">
        <f>L12*(1+$S$2)</f>
        <v>11172.795</v>
      </c>
      <c r="O12" s="17">
        <f>L12*(1+$T$2)</f>
        <v>12662.500999999998</v>
      </c>
      <c r="P12" s="30" t="s">
        <v>73</v>
      </c>
    </row>
    <row r="13" spans="1:20" x14ac:dyDescent="0.25">
      <c r="A13" s="29">
        <v>45913</v>
      </c>
      <c r="B13" s="16" t="s">
        <v>23</v>
      </c>
      <c r="C13" s="17">
        <v>188.53</v>
      </c>
      <c r="D13" s="17">
        <v>100</v>
      </c>
      <c r="E13" s="17"/>
      <c r="F13" s="17">
        <v>20</v>
      </c>
      <c r="G13" s="17">
        <v>50</v>
      </c>
      <c r="H13" s="17"/>
      <c r="I13" s="17"/>
      <c r="J13" s="17">
        <v>800</v>
      </c>
      <c r="K13" s="17">
        <v>100</v>
      </c>
      <c r="L13" s="17">
        <f>SUM(C13:K13)</f>
        <v>1258.53</v>
      </c>
      <c r="M13" s="17">
        <f>L13*(1+$R$2)</f>
        <v>1636.0889999999999</v>
      </c>
      <c r="N13" s="17">
        <f>L13*(1+$S$2)</f>
        <v>1887.7950000000001</v>
      </c>
      <c r="O13" s="17">
        <f>L13*(1+$T$2)</f>
        <v>2139.5009999999997</v>
      </c>
      <c r="P13" s="30" t="s">
        <v>73</v>
      </c>
    </row>
    <row r="14" spans="1:20" x14ac:dyDescent="0.25">
      <c r="A14" s="31"/>
      <c r="B14" s="19"/>
      <c r="C14" s="19"/>
      <c r="D14" s="19"/>
      <c r="E14" s="19"/>
      <c r="F14" s="19"/>
      <c r="G14" s="19"/>
      <c r="H14" s="19"/>
      <c r="I14" s="19"/>
      <c r="J14" s="19"/>
      <c r="K14" s="25" t="s">
        <v>24</v>
      </c>
      <c r="L14" s="26">
        <f>SUM(L12:L13)</f>
        <v>8707.06</v>
      </c>
      <c r="M14" s="26">
        <f>SUM(M12:M13)</f>
        <v>11319.178</v>
      </c>
      <c r="N14" s="26">
        <f>SUM(N12:N13)</f>
        <v>13060.59</v>
      </c>
      <c r="O14" s="26">
        <f>SUM(O12:O13)</f>
        <v>14802.001999999999</v>
      </c>
      <c r="P14" s="32"/>
    </row>
    <row r="15" spans="1:20" x14ac:dyDescent="0.25">
      <c r="A15" s="31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33"/>
    </row>
    <row r="16" spans="1:20" x14ac:dyDescent="0.25">
      <c r="A16" s="31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33"/>
    </row>
    <row r="17" spans="1:21" ht="18.75" x14ac:dyDescent="0.3">
      <c r="A17" s="54" t="s">
        <v>52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56"/>
      <c r="P17" s="57"/>
    </row>
    <row r="18" spans="1:21" x14ac:dyDescent="0.25">
      <c r="A18" s="34" t="s">
        <v>10</v>
      </c>
      <c r="B18" s="1" t="s">
        <v>11</v>
      </c>
      <c r="C18" s="58" t="s">
        <v>47</v>
      </c>
      <c r="D18" s="59"/>
      <c r="E18" s="59"/>
      <c r="F18" s="59"/>
      <c r="G18" s="59"/>
      <c r="H18" s="59"/>
      <c r="I18" s="60"/>
      <c r="J18" s="1" t="s">
        <v>48</v>
      </c>
      <c r="K18" s="1" t="s">
        <v>38</v>
      </c>
      <c r="L18" s="1" t="s">
        <v>21</v>
      </c>
      <c r="M18" s="1" t="s">
        <v>84</v>
      </c>
      <c r="N18" s="1" t="s">
        <v>85</v>
      </c>
      <c r="O18" s="1" t="s">
        <v>86</v>
      </c>
      <c r="P18" s="35" t="s">
        <v>22</v>
      </c>
      <c r="R18" s="23"/>
      <c r="S18" s="23"/>
    </row>
    <row r="19" spans="1:21" ht="68.25" customHeight="1" x14ac:dyDescent="0.25">
      <c r="A19" s="29">
        <v>45916</v>
      </c>
      <c r="B19" s="11" t="s">
        <v>23</v>
      </c>
      <c r="C19" s="68" t="s">
        <v>49</v>
      </c>
      <c r="D19" s="69"/>
      <c r="E19" s="69"/>
      <c r="F19" s="69"/>
      <c r="G19" s="69"/>
      <c r="H19" s="69"/>
      <c r="I19" s="70"/>
      <c r="J19" s="18">
        <v>610</v>
      </c>
      <c r="K19" s="17">
        <v>30</v>
      </c>
      <c r="L19" s="17">
        <f>J19*K19</f>
        <v>18300</v>
      </c>
      <c r="M19" s="17">
        <f>L19*(1+$R$2)</f>
        <v>23790</v>
      </c>
      <c r="N19" s="17">
        <f>L19*(1+$S$2)</f>
        <v>27450</v>
      </c>
      <c r="O19" s="17">
        <f>L19*(1+$T$2)</f>
        <v>31110</v>
      </c>
      <c r="P19" s="30" t="s">
        <v>72</v>
      </c>
    </row>
    <row r="20" spans="1:21" x14ac:dyDescent="0.25">
      <c r="A20" s="36"/>
      <c r="K20" s="25" t="s">
        <v>24</v>
      </c>
      <c r="L20" s="26">
        <f>SUM(L19:L19)</f>
        <v>18300</v>
      </c>
      <c r="M20" s="26">
        <f>SUM(M19:M19)</f>
        <v>23790</v>
      </c>
      <c r="N20" s="26">
        <f>SUM(N19:N19)</f>
        <v>27450</v>
      </c>
      <c r="O20" s="26">
        <f>SUM(O19:O19)</f>
        <v>31110</v>
      </c>
      <c r="P20" s="32"/>
      <c r="R20" s="23">
        <f>L20+L14+L7</f>
        <v>37011.179999999993</v>
      </c>
      <c r="S20" s="23">
        <f>M20+M14+M7</f>
        <v>48114.534</v>
      </c>
      <c r="T20" s="23">
        <f>N20+N14+N7</f>
        <v>55516.77</v>
      </c>
      <c r="U20" s="23">
        <f>O20+O14+O7</f>
        <v>62919.005999999994</v>
      </c>
    </row>
    <row r="21" spans="1:21" x14ac:dyDescent="0.25">
      <c r="A21" s="36"/>
      <c r="P21" s="37"/>
    </row>
    <row r="22" spans="1:21" x14ac:dyDescent="0.25">
      <c r="A22" s="36"/>
      <c r="K22" s="48"/>
      <c r="P22" s="37"/>
    </row>
    <row r="23" spans="1:21" ht="18.75" x14ac:dyDescent="0.3">
      <c r="A23" s="54" t="s">
        <v>64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6"/>
      <c r="O23" s="56"/>
      <c r="P23" s="57"/>
    </row>
    <row r="24" spans="1:21" x14ac:dyDescent="0.25">
      <c r="A24" s="34" t="s">
        <v>10</v>
      </c>
      <c r="B24" s="1" t="s">
        <v>11</v>
      </c>
      <c r="C24" s="58" t="s">
        <v>47</v>
      </c>
      <c r="D24" s="59"/>
      <c r="E24" s="59"/>
      <c r="F24" s="59"/>
      <c r="G24" s="59"/>
      <c r="H24" s="59"/>
      <c r="I24" s="60"/>
      <c r="J24" s="1" t="s">
        <v>48</v>
      </c>
      <c r="K24" s="1" t="s">
        <v>38</v>
      </c>
      <c r="L24" s="1" t="s">
        <v>21</v>
      </c>
      <c r="M24" s="1" t="s">
        <v>84</v>
      </c>
      <c r="N24" s="1" t="s">
        <v>85</v>
      </c>
      <c r="O24" s="1" t="s">
        <v>86</v>
      </c>
      <c r="P24" s="35" t="s">
        <v>22</v>
      </c>
    </row>
    <row r="25" spans="1:21" ht="68.25" customHeight="1" x14ac:dyDescent="0.25">
      <c r="A25" s="29">
        <v>45925</v>
      </c>
      <c r="B25" s="11" t="s">
        <v>23</v>
      </c>
      <c r="C25" s="65" t="s">
        <v>63</v>
      </c>
      <c r="D25" s="66"/>
      <c r="E25" s="66"/>
      <c r="F25" s="66"/>
      <c r="G25" s="66"/>
      <c r="H25" s="66"/>
      <c r="I25" s="67"/>
      <c r="J25" s="18">
        <v>610</v>
      </c>
      <c r="K25" s="17">
        <v>50.9</v>
      </c>
      <c r="L25" s="17">
        <f>J25*K25</f>
        <v>31049</v>
      </c>
      <c r="M25" s="17">
        <f>L25*(1+$R$2)</f>
        <v>40363.700000000004</v>
      </c>
      <c r="N25" s="17">
        <f>L25*(1+$S$2)</f>
        <v>46573.5</v>
      </c>
      <c r="O25" s="17">
        <f>L25*(1+$T$2)</f>
        <v>52783.299999999996</v>
      </c>
      <c r="P25" s="38" t="s">
        <v>75</v>
      </c>
    </row>
    <row r="26" spans="1:21" x14ac:dyDescent="0.25">
      <c r="A26" s="36"/>
      <c r="K26" s="25" t="s">
        <v>24</v>
      </c>
      <c r="L26" s="26">
        <f>SUM(L25:L25)</f>
        <v>31049</v>
      </c>
      <c r="M26" s="26">
        <f>SUM(M25:M25)</f>
        <v>40363.700000000004</v>
      </c>
      <c r="N26" s="26">
        <f>SUM(N25:N25)</f>
        <v>46573.5</v>
      </c>
      <c r="O26" s="26">
        <f>SUM(O25:O25)</f>
        <v>52783.299999999996</v>
      </c>
      <c r="P26" s="32"/>
    </row>
    <row r="27" spans="1:21" x14ac:dyDescent="0.25">
      <c r="A27" s="36"/>
      <c r="P27" s="37"/>
    </row>
    <row r="28" spans="1:21" x14ac:dyDescent="0.25">
      <c r="A28" s="36"/>
      <c r="P28" s="37"/>
    </row>
    <row r="29" spans="1:21" ht="15.75" thickBot="1" x14ac:dyDescent="0.3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1" t="s">
        <v>24</v>
      </c>
      <c r="L29" s="42">
        <f>SUM(L7+L14+L20+L26)</f>
        <v>68060.179999999993</v>
      </c>
      <c r="M29" s="42">
        <f>SUM(M7+M14+M20+M26)</f>
        <v>88478.233999999997</v>
      </c>
      <c r="N29" s="42">
        <f>SUM(N7+N14+N20+N26)</f>
        <v>102090.26999999999</v>
      </c>
      <c r="O29" s="42">
        <f>SUM(O7+O14+O20+O26)</f>
        <v>115702.30599999998</v>
      </c>
      <c r="P29" s="43"/>
      <c r="R29" s="23">
        <f>M29-L29</f>
        <v>20418.054000000004</v>
      </c>
    </row>
    <row r="30" spans="1:21" x14ac:dyDescent="0.25">
      <c r="R30" s="23"/>
    </row>
    <row r="31" spans="1:21" ht="15.75" thickBot="1" x14ac:dyDescent="0.3"/>
    <row r="32" spans="1:21" ht="18.75" x14ac:dyDescent="0.3">
      <c r="A32" s="61" t="s">
        <v>74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3"/>
      <c r="O32" s="63"/>
      <c r="P32" s="64"/>
    </row>
    <row r="33" spans="1:18" x14ac:dyDescent="0.25">
      <c r="A33" s="27" t="s">
        <v>10</v>
      </c>
      <c r="B33" s="15" t="s">
        <v>11</v>
      </c>
      <c r="C33" s="15" t="s">
        <v>12</v>
      </c>
      <c r="D33" s="15" t="s">
        <v>13</v>
      </c>
      <c r="E33" s="15" t="s">
        <v>14</v>
      </c>
      <c r="F33" s="15" t="s">
        <v>16</v>
      </c>
      <c r="G33" s="15" t="s">
        <v>15</v>
      </c>
      <c r="H33" s="15" t="s">
        <v>17</v>
      </c>
      <c r="I33" s="15" t="s">
        <v>67</v>
      </c>
      <c r="J33" s="15" t="s">
        <v>68</v>
      </c>
      <c r="K33" s="15" t="s">
        <v>66</v>
      </c>
      <c r="L33" s="15" t="s">
        <v>21</v>
      </c>
      <c r="M33" s="1" t="s">
        <v>84</v>
      </c>
      <c r="N33" s="1" t="s">
        <v>85</v>
      </c>
      <c r="O33" s="1" t="s">
        <v>86</v>
      </c>
      <c r="P33" s="28" t="s">
        <v>22</v>
      </c>
    </row>
    <row r="34" spans="1:18" x14ac:dyDescent="0.25">
      <c r="A34" s="29">
        <v>45931</v>
      </c>
      <c r="B34" s="16" t="s">
        <v>23</v>
      </c>
      <c r="C34" s="17">
        <v>188.53</v>
      </c>
      <c r="D34" s="17">
        <v>100</v>
      </c>
      <c r="E34" s="17"/>
      <c r="F34" s="17">
        <v>40</v>
      </c>
      <c r="G34" s="17">
        <v>100</v>
      </c>
      <c r="H34" s="17"/>
      <c r="I34" s="18">
        <v>2</v>
      </c>
      <c r="J34" s="18">
        <v>250</v>
      </c>
      <c r="K34" s="17">
        <v>10</v>
      </c>
      <c r="L34" s="17">
        <f>(C34+D34+F34+G34)+(I34*J34*K34)</f>
        <v>5428.53</v>
      </c>
      <c r="M34" s="17">
        <f>L34*(1+$R$2)</f>
        <v>7057.0889999999999</v>
      </c>
      <c r="N34" s="17">
        <f>L34*(1+$S$2)</f>
        <v>8142.7950000000001</v>
      </c>
      <c r="O34" s="17">
        <f t="shared" ref="O34:O38" si="2">L34*(1+$T$2)</f>
        <v>9228.5010000000002</v>
      </c>
      <c r="P34" s="44" t="s">
        <v>65</v>
      </c>
    </row>
    <row r="35" spans="1:18" x14ac:dyDescent="0.25">
      <c r="A35" s="29">
        <v>45932</v>
      </c>
      <c r="B35" s="16" t="s">
        <v>23</v>
      </c>
      <c r="C35" s="17">
        <v>188.53</v>
      </c>
      <c r="D35" s="17">
        <v>100</v>
      </c>
      <c r="E35" s="17"/>
      <c r="F35" s="17">
        <v>40</v>
      </c>
      <c r="G35" s="17">
        <v>100</v>
      </c>
      <c r="H35" s="17"/>
      <c r="I35" s="18">
        <v>2</v>
      </c>
      <c r="J35" s="18">
        <v>250</v>
      </c>
      <c r="K35" s="17">
        <v>10</v>
      </c>
      <c r="L35" s="17">
        <f t="shared" ref="L35:L38" si="3">(C35+D35+F35+G35)+(I35*J35*K35)</f>
        <v>5428.53</v>
      </c>
      <c r="M35" s="17">
        <f t="shared" ref="M35:M38" si="4">L35*(1+$R$2)</f>
        <v>7057.0889999999999</v>
      </c>
      <c r="N35" s="17">
        <f t="shared" ref="N35:N38" si="5">L35*(1+$S$2)</f>
        <v>8142.7950000000001</v>
      </c>
      <c r="O35" s="17">
        <f t="shared" si="2"/>
        <v>9228.5010000000002</v>
      </c>
      <c r="P35" s="44" t="s">
        <v>65</v>
      </c>
    </row>
    <row r="36" spans="1:18" x14ac:dyDescent="0.25">
      <c r="A36" s="29">
        <v>45933</v>
      </c>
      <c r="B36" s="16" t="s">
        <v>23</v>
      </c>
      <c r="C36" s="17">
        <v>188.53</v>
      </c>
      <c r="D36" s="17">
        <v>100</v>
      </c>
      <c r="E36" s="17"/>
      <c r="F36" s="17">
        <v>40</v>
      </c>
      <c r="G36" s="17">
        <v>100</v>
      </c>
      <c r="H36" s="17"/>
      <c r="I36" s="18">
        <v>2</v>
      </c>
      <c r="J36" s="18">
        <v>250</v>
      </c>
      <c r="K36" s="17">
        <v>10</v>
      </c>
      <c r="L36" s="17">
        <f t="shared" si="3"/>
        <v>5428.53</v>
      </c>
      <c r="M36" s="17">
        <f t="shared" si="4"/>
        <v>7057.0889999999999</v>
      </c>
      <c r="N36" s="17">
        <f t="shared" si="5"/>
        <v>8142.7950000000001</v>
      </c>
      <c r="O36" s="17">
        <f t="shared" si="2"/>
        <v>9228.5010000000002</v>
      </c>
      <c r="P36" s="44" t="s">
        <v>65</v>
      </c>
    </row>
    <row r="37" spans="1:18" x14ac:dyDescent="0.25">
      <c r="A37" s="29">
        <v>45934</v>
      </c>
      <c r="B37" s="16" t="s">
        <v>23</v>
      </c>
      <c r="C37" s="17">
        <v>188.53</v>
      </c>
      <c r="D37" s="17">
        <v>100</v>
      </c>
      <c r="E37" s="17"/>
      <c r="F37" s="17">
        <v>40</v>
      </c>
      <c r="G37" s="17">
        <v>100</v>
      </c>
      <c r="H37" s="17"/>
      <c r="I37" s="18">
        <v>2</v>
      </c>
      <c r="J37" s="18">
        <v>250</v>
      </c>
      <c r="K37" s="17">
        <v>10</v>
      </c>
      <c r="L37" s="17">
        <f t="shared" si="3"/>
        <v>5428.53</v>
      </c>
      <c r="M37" s="17">
        <f t="shared" si="4"/>
        <v>7057.0889999999999</v>
      </c>
      <c r="N37" s="17">
        <f t="shared" si="5"/>
        <v>8142.7950000000001</v>
      </c>
      <c r="O37" s="17">
        <f t="shared" si="2"/>
        <v>9228.5010000000002</v>
      </c>
      <c r="P37" s="44" t="s">
        <v>65</v>
      </c>
    </row>
    <row r="38" spans="1:18" x14ac:dyDescent="0.25">
      <c r="A38" s="29">
        <v>45935</v>
      </c>
      <c r="B38" s="16" t="s">
        <v>23</v>
      </c>
      <c r="C38" s="17">
        <v>188.53</v>
      </c>
      <c r="D38" s="17">
        <v>100</v>
      </c>
      <c r="E38" s="17"/>
      <c r="F38" s="17">
        <v>40</v>
      </c>
      <c r="G38" s="17">
        <v>100</v>
      </c>
      <c r="H38" s="17"/>
      <c r="I38" s="18">
        <v>2</v>
      </c>
      <c r="J38" s="18">
        <v>250</v>
      </c>
      <c r="K38" s="17">
        <v>10</v>
      </c>
      <c r="L38" s="17">
        <f t="shared" si="3"/>
        <v>5428.53</v>
      </c>
      <c r="M38" s="17">
        <f t="shared" si="4"/>
        <v>7057.0889999999999</v>
      </c>
      <c r="N38" s="17">
        <f t="shared" si="5"/>
        <v>8142.7950000000001</v>
      </c>
      <c r="O38" s="17">
        <f t="shared" si="2"/>
        <v>9228.5010000000002</v>
      </c>
      <c r="P38" s="44" t="s">
        <v>65</v>
      </c>
    </row>
    <row r="39" spans="1:18" x14ac:dyDescent="0.25">
      <c r="A39" s="31"/>
      <c r="B39" s="19"/>
      <c r="C39" s="19"/>
      <c r="D39" s="19"/>
      <c r="E39" s="19"/>
      <c r="F39" s="19"/>
      <c r="G39" s="19"/>
      <c r="H39" s="19"/>
      <c r="I39" s="19"/>
      <c r="J39" s="19"/>
      <c r="K39" s="25" t="s">
        <v>24</v>
      </c>
      <c r="L39" s="26">
        <f>SUM(L34:L38)</f>
        <v>27142.649999999998</v>
      </c>
      <c r="M39" s="26">
        <f>SUM(M34:M38)</f>
        <v>35285.445</v>
      </c>
      <c r="N39" s="26">
        <f>SUM(N34:N38)</f>
        <v>40713.974999999999</v>
      </c>
      <c r="O39" s="26">
        <f>SUM(O34:O38)</f>
        <v>46142.505000000005</v>
      </c>
      <c r="P39" s="32"/>
    </row>
    <row r="40" spans="1:18" x14ac:dyDescent="0.25">
      <c r="A40" s="36"/>
      <c r="J40" s="23">
        <f>I34*J34*K34</f>
        <v>5000</v>
      </c>
      <c r="P40" s="37"/>
    </row>
    <row r="41" spans="1:18" x14ac:dyDescent="0.25">
      <c r="A41" s="36"/>
      <c r="P41" s="37"/>
    </row>
    <row r="42" spans="1:18" ht="15.75" thickBot="1" x14ac:dyDescent="0.3">
      <c r="A42" s="39"/>
      <c r="B42" s="40"/>
      <c r="C42" s="40"/>
      <c r="D42" s="40"/>
      <c r="E42" s="40"/>
      <c r="F42" s="40"/>
      <c r="G42" s="40"/>
      <c r="H42" s="40"/>
      <c r="I42" s="40"/>
      <c r="J42" s="40"/>
      <c r="K42" s="41" t="s">
        <v>24</v>
      </c>
      <c r="L42" s="42">
        <f>SUM(L39)</f>
        <v>27142.649999999998</v>
      </c>
      <c r="M42" s="42">
        <f>SUM(M39)</f>
        <v>35285.445</v>
      </c>
      <c r="N42" s="42">
        <f>SUM(N39)</f>
        <v>40713.974999999999</v>
      </c>
      <c r="O42" s="42">
        <f>SUM(O39)</f>
        <v>46142.505000000005</v>
      </c>
      <c r="P42" s="43"/>
      <c r="R42" s="23">
        <f>M42-L42</f>
        <v>8142.7950000000019</v>
      </c>
    </row>
    <row r="43" spans="1:18" x14ac:dyDescent="0.25">
      <c r="R43" s="23"/>
    </row>
    <row r="44" spans="1:18" ht="15.75" thickBot="1" x14ac:dyDescent="0.3"/>
    <row r="45" spans="1:18" ht="18.75" x14ac:dyDescent="0.3">
      <c r="A45" s="61" t="s">
        <v>70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3"/>
      <c r="O45" s="63"/>
      <c r="P45" s="64"/>
    </row>
    <row r="46" spans="1:18" x14ac:dyDescent="0.25">
      <c r="A46" s="34" t="s">
        <v>10</v>
      </c>
      <c r="B46" s="1" t="s">
        <v>11</v>
      </c>
      <c r="C46" s="58" t="s">
        <v>47</v>
      </c>
      <c r="D46" s="59"/>
      <c r="E46" s="59"/>
      <c r="F46" s="59"/>
      <c r="G46" s="59"/>
      <c r="H46" s="59"/>
      <c r="I46" s="60"/>
      <c r="J46" s="1" t="s">
        <v>8</v>
      </c>
      <c r="K46" s="1" t="s">
        <v>38</v>
      </c>
      <c r="L46" s="1" t="s">
        <v>21</v>
      </c>
      <c r="M46" s="1" t="s">
        <v>84</v>
      </c>
      <c r="N46" s="1" t="s">
        <v>85</v>
      </c>
      <c r="O46" s="1" t="s">
        <v>86</v>
      </c>
      <c r="P46" s="35" t="s">
        <v>22</v>
      </c>
    </row>
    <row r="47" spans="1:18" x14ac:dyDescent="0.25">
      <c r="A47" s="29">
        <v>45936</v>
      </c>
      <c r="B47" s="11" t="s">
        <v>23</v>
      </c>
      <c r="C47" s="65" t="s">
        <v>76</v>
      </c>
      <c r="D47" s="66"/>
      <c r="E47" s="66"/>
      <c r="F47" s="66"/>
      <c r="G47" s="66"/>
      <c r="H47" s="66"/>
      <c r="I47" s="67"/>
      <c r="J47" s="18">
        <v>120</v>
      </c>
      <c r="K47" s="17">
        <v>200</v>
      </c>
      <c r="L47" s="17">
        <f>J47*K47</f>
        <v>24000</v>
      </c>
      <c r="M47" s="17">
        <f>L47*(1+$R$2)</f>
        <v>31200</v>
      </c>
      <c r="N47" s="17">
        <f t="shared" ref="N47" si="6">L47*(1+$S$2)</f>
        <v>36000</v>
      </c>
      <c r="O47" s="17">
        <f t="shared" ref="O47" si="7">L47*(1+$T$2)</f>
        <v>40800</v>
      </c>
      <c r="P47" s="38"/>
    </row>
    <row r="48" spans="1:18" x14ac:dyDescent="0.25">
      <c r="A48" s="36"/>
      <c r="K48" s="25" t="s">
        <v>24</v>
      </c>
      <c r="L48" s="26">
        <f>SUM(L47:L47)</f>
        <v>24000</v>
      </c>
      <c r="M48" s="26">
        <f>SUM(M47:M47)</f>
        <v>31200</v>
      </c>
      <c r="N48" s="26">
        <f>SUM(N47:N47)</f>
        <v>36000</v>
      </c>
      <c r="O48" s="26">
        <f>SUM(O47:O47)</f>
        <v>40800</v>
      </c>
      <c r="P48" s="32"/>
    </row>
    <row r="49" spans="1:18" x14ac:dyDescent="0.25">
      <c r="A49" s="36"/>
      <c r="P49" s="37"/>
    </row>
    <row r="50" spans="1:18" x14ac:dyDescent="0.25">
      <c r="A50" s="36"/>
      <c r="P50" s="37"/>
    </row>
    <row r="51" spans="1:18" ht="18.75" x14ac:dyDescent="0.3">
      <c r="A51" s="54" t="s">
        <v>81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6"/>
      <c r="O51" s="56"/>
      <c r="P51" s="57"/>
    </row>
    <row r="52" spans="1:18" x14ac:dyDescent="0.25">
      <c r="A52" s="27" t="s">
        <v>10</v>
      </c>
      <c r="B52" s="15" t="s">
        <v>11</v>
      </c>
      <c r="C52" s="15" t="s">
        <v>12</v>
      </c>
      <c r="D52" s="15" t="s">
        <v>13</v>
      </c>
      <c r="E52" s="15" t="s">
        <v>14</v>
      </c>
      <c r="F52" s="15" t="s">
        <v>16</v>
      </c>
      <c r="G52" s="15" t="s">
        <v>15</v>
      </c>
      <c r="H52" s="15" t="s">
        <v>17</v>
      </c>
      <c r="I52" s="15" t="s">
        <v>82</v>
      </c>
      <c r="J52" s="15" t="s">
        <v>83</v>
      </c>
      <c r="K52" s="15" t="s">
        <v>66</v>
      </c>
      <c r="L52" s="15" t="s">
        <v>21</v>
      </c>
      <c r="M52" s="1" t="s">
        <v>84</v>
      </c>
      <c r="N52" s="1" t="s">
        <v>85</v>
      </c>
      <c r="O52" s="1" t="s">
        <v>86</v>
      </c>
      <c r="P52" s="28" t="s">
        <v>22</v>
      </c>
    </row>
    <row r="53" spans="1:18" x14ac:dyDescent="0.25">
      <c r="A53" s="29">
        <v>45936</v>
      </c>
      <c r="B53" s="16" t="s">
        <v>23</v>
      </c>
      <c r="C53" s="17">
        <v>188.53</v>
      </c>
      <c r="D53" s="17">
        <v>50</v>
      </c>
      <c r="E53" s="17">
        <v>150</v>
      </c>
      <c r="F53" s="17">
        <v>10</v>
      </c>
      <c r="G53" s="17">
        <v>25</v>
      </c>
      <c r="H53" s="17">
        <v>20</v>
      </c>
      <c r="I53" s="18">
        <v>1</v>
      </c>
      <c r="J53" s="18">
        <v>8</v>
      </c>
      <c r="K53" s="17">
        <v>50</v>
      </c>
      <c r="L53" s="17">
        <f>(C53+D53+E53+F53+G53+H53)+(I53*J53*K53)</f>
        <v>843.53</v>
      </c>
      <c r="M53" s="17">
        <f>L53*(1+$R$2)</f>
        <v>1096.5889999999999</v>
      </c>
      <c r="N53" s="17">
        <f t="shared" ref="N53:N55" si="8">L53*(1+$S$2)</f>
        <v>1265.2950000000001</v>
      </c>
      <c r="O53" s="17">
        <f t="shared" ref="O53:O55" si="9">L53*(1+$T$2)</f>
        <v>1434.001</v>
      </c>
      <c r="P53" s="44" t="s">
        <v>65</v>
      </c>
    </row>
    <row r="54" spans="1:18" x14ac:dyDescent="0.25">
      <c r="A54" s="29">
        <v>45937</v>
      </c>
      <c r="B54" s="16" t="s">
        <v>23</v>
      </c>
      <c r="C54" s="17">
        <v>188.53</v>
      </c>
      <c r="D54" s="17">
        <v>50</v>
      </c>
      <c r="E54" s="17">
        <v>150</v>
      </c>
      <c r="F54" s="17">
        <v>10</v>
      </c>
      <c r="G54" s="17">
        <v>25</v>
      </c>
      <c r="H54" s="17">
        <v>20</v>
      </c>
      <c r="I54" s="18">
        <v>1</v>
      </c>
      <c r="J54" s="18">
        <v>8</v>
      </c>
      <c r="K54" s="17">
        <v>50</v>
      </c>
      <c r="L54" s="17">
        <f>(C54+D54+E54+F54+G54+H54)+(I54*J54*K54)</f>
        <v>843.53</v>
      </c>
      <c r="M54" s="17">
        <f t="shared" ref="M54:M55" si="10">L54*(1+$R$2)</f>
        <v>1096.5889999999999</v>
      </c>
      <c r="N54" s="17">
        <f t="shared" si="8"/>
        <v>1265.2950000000001</v>
      </c>
      <c r="O54" s="17">
        <f t="shared" si="9"/>
        <v>1434.001</v>
      </c>
      <c r="P54" s="44" t="s">
        <v>65</v>
      </c>
    </row>
    <row r="55" spans="1:18" x14ac:dyDescent="0.25">
      <c r="A55" s="29">
        <v>45938</v>
      </c>
      <c r="B55" s="16" t="s">
        <v>23</v>
      </c>
      <c r="C55" s="17">
        <v>188.53</v>
      </c>
      <c r="D55" s="17">
        <v>50</v>
      </c>
      <c r="E55" s="17">
        <v>150</v>
      </c>
      <c r="F55" s="17">
        <v>10</v>
      </c>
      <c r="G55" s="17">
        <v>25</v>
      </c>
      <c r="H55" s="17">
        <v>20</v>
      </c>
      <c r="I55" s="18">
        <v>1</v>
      </c>
      <c r="J55" s="18">
        <v>8</v>
      </c>
      <c r="K55" s="17">
        <v>50</v>
      </c>
      <c r="L55" s="17">
        <f>(C55+D55+E55+F55+G55+H55)+(I55*J55*K55)</f>
        <v>843.53</v>
      </c>
      <c r="M55" s="17">
        <f t="shared" si="10"/>
        <v>1096.5889999999999</v>
      </c>
      <c r="N55" s="17">
        <f t="shared" si="8"/>
        <v>1265.2950000000001</v>
      </c>
      <c r="O55" s="17">
        <f t="shared" si="9"/>
        <v>1434.001</v>
      </c>
      <c r="P55" s="44" t="s">
        <v>65</v>
      </c>
    </row>
    <row r="56" spans="1:18" x14ac:dyDescent="0.25">
      <c r="A56" s="31"/>
      <c r="B56" s="19"/>
      <c r="C56" s="19"/>
      <c r="D56" s="19"/>
      <c r="E56" s="19"/>
      <c r="F56" s="19"/>
      <c r="G56" s="19"/>
      <c r="H56" s="19"/>
      <c r="I56" s="19"/>
      <c r="J56" s="19"/>
      <c r="K56" s="25" t="s">
        <v>24</v>
      </c>
      <c r="L56" s="26">
        <f>SUM(L53:L55)</f>
        <v>2530.59</v>
      </c>
      <c r="M56" s="26">
        <f>SUM(M53:M55)</f>
        <v>3289.7669999999998</v>
      </c>
      <c r="N56" s="26">
        <f>SUM(N53:N55)</f>
        <v>3795.8850000000002</v>
      </c>
      <c r="O56" s="26">
        <f>SUM(O53:O55)</f>
        <v>4302.0029999999997</v>
      </c>
      <c r="P56" s="32"/>
    </row>
    <row r="57" spans="1:18" x14ac:dyDescent="0.25">
      <c r="A57" s="36"/>
      <c r="P57" s="37"/>
    </row>
    <row r="58" spans="1:18" ht="15.75" thickBot="1" x14ac:dyDescent="0.3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1" t="s">
        <v>24</v>
      </c>
      <c r="L58" s="42">
        <f>SUM(L56+L48)</f>
        <v>26530.59</v>
      </c>
      <c r="M58" s="42">
        <f>SUM(M56+M48)</f>
        <v>34489.767</v>
      </c>
      <c r="N58" s="42">
        <f>SUM(N56+N48)</f>
        <v>39795.885000000002</v>
      </c>
      <c r="O58" s="42">
        <f>SUM(O56+O48)</f>
        <v>45102.002999999997</v>
      </c>
      <c r="P58" s="43"/>
      <c r="R58" s="23">
        <f>M58-L58</f>
        <v>7959.1769999999997</v>
      </c>
    </row>
    <row r="60" spans="1:18" ht="15.75" thickBot="1" x14ac:dyDescent="0.3"/>
    <row r="61" spans="1:18" ht="15.75" thickBot="1" x14ac:dyDescent="0.3">
      <c r="K61" s="45" t="s">
        <v>77</v>
      </c>
      <c r="L61" s="46">
        <f>SUM(L58+L42+L29)</f>
        <v>121733.41999999998</v>
      </c>
      <c r="M61" s="46">
        <f>SUM(M58+M42+M29)</f>
        <v>158253.446</v>
      </c>
      <c r="N61" s="46">
        <f>SUM(N58+N42+N29)</f>
        <v>182600.13</v>
      </c>
      <c r="O61" s="46">
        <f>SUM(O58+O42+O29)</f>
        <v>206946.81399999998</v>
      </c>
      <c r="P61" s="47"/>
    </row>
  </sheetData>
  <mergeCells count="13">
    <mergeCell ref="A1:P1"/>
    <mergeCell ref="A10:P10"/>
    <mergeCell ref="A17:P17"/>
    <mergeCell ref="C19:I19"/>
    <mergeCell ref="A23:P23"/>
    <mergeCell ref="A51:P51"/>
    <mergeCell ref="C24:I24"/>
    <mergeCell ref="A32:P32"/>
    <mergeCell ref="C18:I18"/>
    <mergeCell ref="A45:P45"/>
    <mergeCell ref="C47:I47"/>
    <mergeCell ref="C46:I46"/>
    <mergeCell ref="C25:I25"/>
  </mergeCells>
  <pageMargins left="0.511811024" right="0.511811024" top="0.78740157499999996" bottom="0.78740157499999996" header="0.31496062000000002" footer="0.31496062000000002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8696-6197-4CEF-BA7B-3847CD4EC225}">
  <dimension ref="A1:Q16"/>
  <sheetViews>
    <sheetView workbookViewId="0">
      <selection activeCell="D21" sqref="D21"/>
    </sheetView>
  </sheetViews>
  <sheetFormatPr defaultRowHeight="15" x14ac:dyDescent="0.25"/>
  <cols>
    <col min="1" max="1" width="15.42578125" customWidth="1"/>
    <col min="2" max="2" width="11" customWidth="1"/>
    <col min="3" max="3" width="11.42578125" customWidth="1"/>
    <col min="4" max="4" width="14.85546875" customWidth="1"/>
    <col min="5" max="5" width="18.85546875" customWidth="1"/>
    <col min="6" max="6" width="15" bestFit="1" customWidth="1"/>
    <col min="7" max="7" width="14.140625" customWidth="1"/>
    <col min="8" max="8" width="12.7109375" customWidth="1"/>
    <col min="9" max="9" width="19.85546875" customWidth="1"/>
    <col min="10" max="10" width="23.28515625" customWidth="1"/>
    <col min="11" max="11" width="21.28515625" customWidth="1"/>
    <col min="12" max="12" width="16.42578125" customWidth="1"/>
    <col min="13" max="13" width="14.85546875" customWidth="1"/>
    <col min="14" max="14" width="24.140625" bestFit="1" customWidth="1"/>
    <col min="15" max="15" width="13.42578125" bestFit="1" customWidth="1"/>
    <col min="17" max="17" width="55.85546875" customWidth="1"/>
  </cols>
  <sheetData>
    <row r="1" spans="1:17" ht="18.75" x14ac:dyDescent="0.3">
      <c r="A1" s="55" t="s">
        <v>25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1" t="s">
        <v>26</v>
      </c>
    </row>
    <row r="2" spans="1:17" x14ac:dyDescent="0.2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16</v>
      </c>
      <c r="G2" s="1" t="s">
        <v>15</v>
      </c>
      <c r="H2" s="1" t="s">
        <v>17</v>
      </c>
      <c r="I2" s="1" t="s">
        <v>18</v>
      </c>
      <c r="J2" s="1" t="s">
        <v>19</v>
      </c>
      <c r="K2" s="1" t="s">
        <v>20</v>
      </c>
      <c r="L2" s="1" t="s">
        <v>21</v>
      </c>
      <c r="M2" s="1" t="s">
        <v>26</v>
      </c>
      <c r="N2" s="1" t="s">
        <v>27</v>
      </c>
      <c r="O2" s="1" t="s">
        <v>22</v>
      </c>
      <c r="P2" s="7">
        <v>0.5</v>
      </c>
    </row>
    <row r="3" spans="1:17" x14ac:dyDescent="0.25">
      <c r="A3" s="5">
        <v>45850</v>
      </c>
      <c r="B3" s="2" t="s">
        <v>23</v>
      </c>
      <c r="C3" s="2">
        <v>188.53</v>
      </c>
      <c r="D3" s="2">
        <v>100</v>
      </c>
      <c r="E3" s="2">
        <v>150</v>
      </c>
      <c r="F3" s="2">
        <v>20</v>
      </c>
      <c r="G3" s="2">
        <v>50</v>
      </c>
      <c r="H3" s="2">
        <v>40</v>
      </c>
      <c r="I3" s="2">
        <v>1000</v>
      </c>
      <c r="J3" s="2">
        <v>200</v>
      </c>
      <c r="K3" s="2">
        <v>100</v>
      </c>
      <c r="L3" s="4">
        <f>SUM(C3:K3)</f>
        <v>1848.53</v>
      </c>
      <c r="M3" s="7">
        <v>0.5</v>
      </c>
      <c r="N3" s="4">
        <f>L3*(1+M3)</f>
        <v>2772.7950000000001</v>
      </c>
      <c r="O3" s="2"/>
    </row>
    <row r="4" spans="1:17" x14ac:dyDescent="0.25">
      <c r="A4" s="5">
        <v>45851</v>
      </c>
      <c r="B4" s="2" t="s">
        <v>23</v>
      </c>
      <c r="C4" s="2">
        <v>188.53</v>
      </c>
      <c r="D4" s="2">
        <v>100</v>
      </c>
      <c r="E4" s="2">
        <v>150</v>
      </c>
      <c r="F4" s="2">
        <v>20</v>
      </c>
      <c r="G4" s="2">
        <v>50</v>
      </c>
      <c r="H4" s="2">
        <v>40</v>
      </c>
      <c r="I4" s="2">
        <v>1000</v>
      </c>
      <c r="J4" s="2">
        <v>200</v>
      </c>
      <c r="K4" s="2">
        <v>100</v>
      </c>
      <c r="L4" s="4">
        <f>SUM(C4:K4)</f>
        <v>1848.53</v>
      </c>
      <c r="M4" s="7">
        <v>0.5</v>
      </c>
      <c r="N4" s="4">
        <f t="shared" ref="N4:N5" si="0">L4*(1+M4)</f>
        <v>2772.7950000000001</v>
      </c>
      <c r="O4" s="2"/>
    </row>
    <row r="5" spans="1:17" x14ac:dyDescent="0.25">
      <c r="A5" s="5">
        <v>45852</v>
      </c>
      <c r="B5" s="2" t="s">
        <v>23</v>
      </c>
      <c r="C5" s="2">
        <v>188.53</v>
      </c>
      <c r="D5" s="2">
        <v>100</v>
      </c>
      <c r="E5" s="2">
        <v>150</v>
      </c>
      <c r="F5" s="2">
        <v>20</v>
      </c>
      <c r="G5" s="2">
        <v>50</v>
      </c>
      <c r="H5" s="2">
        <v>40</v>
      </c>
      <c r="I5" s="2">
        <v>1000</v>
      </c>
      <c r="J5" s="2">
        <v>200</v>
      </c>
      <c r="K5" s="6">
        <v>100</v>
      </c>
      <c r="L5" s="4">
        <f>SUM(C5:K5)</f>
        <v>1848.53</v>
      </c>
      <c r="M5" s="7">
        <v>0.5</v>
      </c>
      <c r="N5" s="4">
        <f t="shared" si="0"/>
        <v>2772.7950000000001</v>
      </c>
      <c r="O5" s="2"/>
    </row>
    <row r="6" spans="1:17" x14ac:dyDescent="0.25">
      <c r="A6" s="5">
        <v>45853</v>
      </c>
      <c r="B6" s="2" t="s">
        <v>23</v>
      </c>
      <c r="C6" s="2">
        <v>188.53</v>
      </c>
      <c r="D6" s="2">
        <v>100</v>
      </c>
      <c r="E6" s="2"/>
      <c r="F6" s="2">
        <v>20</v>
      </c>
      <c r="G6" s="2">
        <v>50</v>
      </c>
      <c r="H6" s="2"/>
      <c r="I6" s="2">
        <v>1000</v>
      </c>
      <c r="J6" s="2">
        <v>200</v>
      </c>
      <c r="K6" s="6">
        <v>100</v>
      </c>
      <c r="L6" s="4">
        <f>SUM(C6:K6)</f>
        <v>1658.53</v>
      </c>
      <c r="M6" s="7">
        <v>0.5</v>
      </c>
      <c r="N6" s="4">
        <f t="shared" ref="N6" si="1">L6*(1+M6)</f>
        <v>2487.7950000000001</v>
      </c>
      <c r="O6" s="2"/>
    </row>
    <row r="7" spans="1:17" x14ac:dyDescent="0.25">
      <c r="L7" s="2" t="s">
        <v>24</v>
      </c>
      <c r="M7" s="2"/>
      <c r="N7" s="4">
        <f>SUM(N2:N6)</f>
        <v>10806.18</v>
      </c>
      <c r="O7" s="2"/>
    </row>
    <row r="8" spans="1:17" ht="18.75" x14ac:dyDescent="0.3">
      <c r="A8" s="55" t="s">
        <v>45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</row>
    <row r="9" spans="1:17" x14ac:dyDescent="0.25">
      <c r="A9" s="1" t="s">
        <v>10</v>
      </c>
      <c r="B9" s="1" t="s">
        <v>11</v>
      </c>
      <c r="C9" s="1" t="s">
        <v>46</v>
      </c>
    </row>
    <row r="10" spans="1:17" x14ac:dyDescent="0.25">
      <c r="C10" s="1"/>
    </row>
    <row r="12" spans="1:17" ht="18.75" x14ac:dyDescent="0.3">
      <c r="A12" s="55" t="s">
        <v>28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7" ht="30.75" customHeight="1" x14ac:dyDescent="0.25">
      <c r="A13" s="14" t="s">
        <v>29</v>
      </c>
      <c r="B13" s="71" t="s">
        <v>32</v>
      </c>
      <c r="C13" s="71"/>
      <c r="D13" s="71"/>
      <c r="E13" s="71" t="s">
        <v>43</v>
      </c>
      <c r="F13" s="71"/>
      <c r="G13" s="71"/>
      <c r="H13" s="71" t="s">
        <v>34</v>
      </c>
      <c r="I13" s="71"/>
      <c r="J13" s="14" t="s">
        <v>41</v>
      </c>
      <c r="K13" s="14" t="s">
        <v>36</v>
      </c>
      <c r="L13" s="14" t="s">
        <v>42</v>
      </c>
      <c r="M13" s="14" t="s">
        <v>38</v>
      </c>
      <c r="N13" s="14" t="s">
        <v>39</v>
      </c>
      <c r="O13" s="71" t="s">
        <v>22</v>
      </c>
      <c r="P13" s="71"/>
      <c r="Q13" s="71"/>
    </row>
    <row r="14" spans="1:17" ht="150.75" customHeight="1" x14ac:dyDescent="0.25">
      <c r="A14" s="10" t="s">
        <v>30</v>
      </c>
      <c r="B14" s="72" t="s">
        <v>31</v>
      </c>
      <c r="C14" s="72"/>
      <c r="D14" s="72"/>
      <c r="E14" s="72" t="s">
        <v>40</v>
      </c>
      <c r="F14" s="72"/>
      <c r="G14" s="72"/>
      <c r="H14" s="72" t="s">
        <v>33</v>
      </c>
      <c r="I14" s="72"/>
      <c r="J14" s="10" t="s">
        <v>35</v>
      </c>
      <c r="K14" s="10" t="s">
        <v>37</v>
      </c>
      <c r="L14" s="11">
        <v>610</v>
      </c>
      <c r="M14" s="12">
        <v>10</v>
      </c>
      <c r="N14" s="13">
        <f>L14*M14</f>
        <v>6100</v>
      </c>
      <c r="O14" s="72" t="s">
        <v>44</v>
      </c>
      <c r="P14" s="72"/>
      <c r="Q14" s="72"/>
    </row>
    <row r="15" spans="1:17" x14ac:dyDescent="0.25">
      <c r="L15" s="8" t="s">
        <v>24</v>
      </c>
      <c r="M15" s="8"/>
      <c r="N15" s="9">
        <f>SUM(O16+N7)</f>
        <v>19956.18</v>
      </c>
    </row>
    <row r="16" spans="1:17" x14ac:dyDescent="0.25">
      <c r="O16">
        <f>N14*(1+P2)</f>
        <v>9150</v>
      </c>
    </row>
  </sheetData>
  <mergeCells count="11">
    <mergeCell ref="A1:O1"/>
    <mergeCell ref="A12:O12"/>
    <mergeCell ref="H13:I13"/>
    <mergeCell ref="H14:I14"/>
    <mergeCell ref="E13:G13"/>
    <mergeCell ref="E14:G14"/>
    <mergeCell ref="B14:D14"/>
    <mergeCell ref="B13:D13"/>
    <mergeCell ref="O14:Q14"/>
    <mergeCell ref="O13:Q13"/>
    <mergeCell ref="A8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Planilha1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</dc:creator>
  <cp:lastModifiedBy>antonio santos</cp:lastModifiedBy>
  <cp:lastPrinted>2025-08-15T18:53:41Z</cp:lastPrinted>
  <dcterms:created xsi:type="dcterms:W3CDTF">2025-08-11T17:22:27Z</dcterms:created>
  <dcterms:modified xsi:type="dcterms:W3CDTF">2025-09-26T18:03:39Z</dcterms:modified>
</cp:coreProperties>
</file>